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rification_ALSH " sheetId="1" r:id="rId4"/>
    <sheet state="hidden" name="ALSH - Calculs" sheetId="2" r:id="rId5"/>
  </sheets>
  <externalReferences>
    <externalReference r:id="rId6"/>
  </externalReferences>
  <definedNames/>
  <calcPr/>
  <extLst>
    <ext uri="GoogleSheetsCustomDataVersion2">
      <go:sheetsCustomData xmlns:go="http://customooxmlschemas.google.com/" r:id="rId7" roundtripDataChecksum="TQ8xzyIHBQmrCa8AfM+yjPo5DQEpxrnYxdd0xV0bOjI="/>
    </ext>
  </extLst>
</workbook>
</file>

<file path=xl/sharedStrings.xml><?xml version="1.0" encoding="utf-8"?>
<sst xmlns="http://schemas.openxmlformats.org/spreadsheetml/2006/main" count="87" uniqueCount="58">
  <si>
    <t xml:space="preserve">Tarifs pour QF = </t>
  </si>
  <si>
    <t>QF &lt;</t>
  </si>
  <si>
    <t>QF compris entre</t>
  </si>
  <si>
    <t>et</t>
  </si>
  <si>
    <t>QF =</t>
  </si>
  <si>
    <t>Montant pass loisirs indiqué par la mairie de Meylan =</t>
  </si>
  <si>
    <t>EXT QF&lt;=</t>
  </si>
  <si>
    <t>EXT QF &gt;=</t>
  </si>
  <si>
    <t>Taux ALSH</t>
  </si>
  <si>
    <t>Taux =</t>
  </si>
  <si>
    <t>* hors valorisation locaux et fluides par la mairie</t>
  </si>
  <si>
    <t>* QF +</t>
  </si>
  <si>
    <t>Tarif =</t>
  </si>
  <si>
    <t>Taux ALSH clampé à partir de 2000</t>
  </si>
  <si>
    <t xml:space="preserve">Taux = </t>
  </si>
  <si>
    <t xml:space="preserve">* QF + </t>
  </si>
  <si>
    <t>Pour les Meylanais, le tarif est dépendant du QF exact pour un QF entre 100 et 4000.
Pensez à vous inscrire à l'espace famille de la mairie de Meylan, afin de pouvoir profiter de pass loisirs.
Ce pass est utilisable pour 1 journée ou 2 demi-journées de centre de loisirs.
Pour les extérieurs, 2 tarifs différents selon le QF &lt;=2000 ou &gt;=2001</t>
  </si>
  <si>
    <t>Meylan</t>
  </si>
  <si>
    <t>Ext</t>
  </si>
  <si>
    <t>QF choisi</t>
  </si>
  <si>
    <t>Tarifs de l'ALSH selon QF (Quotient familial)</t>
  </si>
  <si>
    <t>Cout complet  (*)</t>
  </si>
  <si>
    <t>Tarif de référence</t>
  </si>
  <si>
    <t>Taux pour QF choisi</t>
  </si>
  <si>
    <t>Tarif  MEYLANAIS</t>
  </si>
  <si>
    <t>Calcul montant pass loirirs * noté à titre indicatif</t>
  </si>
  <si>
    <t>Tarif  MEYLANAIS, pass déduit</t>
  </si>
  <si>
    <t>Tarif  EXTERIEUR</t>
  </si>
  <si>
    <t>Repas</t>
  </si>
  <si>
    <t>MERCREDI</t>
  </si>
  <si>
    <t>ALSH</t>
  </si>
  <si>
    <t>Cout complet</t>
  </si>
  <si>
    <t>Tarif de référence salarié</t>
  </si>
  <si>
    <t>Tarif Meyan</t>
  </si>
  <si>
    <t>Tarif Ext</t>
  </si>
  <si>
    <t>Journée</t>
  </si>
  <si>
    <t>Demi-journée sans repas</t>
  </si>
  <si>
    <t>Journée avec repas (MRA)</t>
  </si>
  <si>
    <t>Demi-journée avec repas</t>
  </si>
  <si>
    <t>Journée SANS repas (MA)</t>
  </si>
  <si>
    <t>VACANCES - Tarif à la journée</t>
  </si>
  <si>
    <t>Demi-journée avec repas (MR ou RA)</t>
  </si>
  <si>
    <t>Journée "forfait semaine"</t>
  </si>
  <si>
    <t>Demi-journée SANS repas (M ou A)</t>
  </si>
  <si>
    <t>VACANCES</t>
  </si>
  <si>
    <t>Journée "forfait semaine sans mercredi"</t>
  </si>
  <si>
    <t>Journée "5 jours" avec repas (MRA)</t>
  </si>
  <si>
    <t>Journée "à la carte"</t>
  </si>
  <si>
    <t>VACANCES - Tarif à la semaine</t>
  </si>
  <si>
    <t>Journée "5 jours" SANS repas (MA)</t>
  </si>
  <si>
    <t>Forfait 5 jours</t>
  </si>
  <si>
    <t>Journée "4 jours" avec repas (MRA) + 2%</t>
  </si>
  <si>
    <t>Journée "4 jours" SANS repas (MA) + 2%</t>
  </si>
  <si>
    <t>Journée "à la carte" avec repas (MRA) + 5%</t>
  </si>
  <si>
    <t>Forfait 4 jours sans mercredi</t>
  </si>
  <si>
    <t>Journée "à la carte" SANS repas (MA) + 5%</t>
  </si>
  <si>
    <t>Journée sortie Miripili</t>
  </si>
  <si>
    <t>Journée sortie Miripili SANS repas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</si>
</sst>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  <font/>
    <font>
      <b/>
      <sz val="11.0"/>
      <color rgb="FF444444"/>
      <name val="Calibri"/>
    </font>
    <font>
      <sz val="10.0"/>
      <color rgb="FFC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A8D08D"/>
        <bgColor rgb="FFA8D08D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3" fontId="1" numFmtId="0" xfId="0" applyAlignment="1" applyBorder="1" applyFill="1" applyFont="1">
      <alignment horizontal="center" readingOrder="0" vertical="center"/>
    </xf>
    <xf borderId="1" fillId="0" fontId="1" numFmtId="10" xfId="0" applyAlignment="1" applyBorder="1" applyFont="1" applyNumberFormat="1">
      <alignment horizontal="center" vertical="center"/>
    </xf>
    <xf quotePrefix="1" borderId="0" fillId="0" fontId="1" numFmtId="0" xfId="0" applyAlignment="1" applyFont="1">
      <alignment vertical="center"/>
    </xf>
    <xf borderId="0" fillId="3" fontId="1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2" fillId="0" fontId="3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8" fillId="4" fontId="1" numFmtId="0" xfId="0" applyAlignment="1" applyBorder="1" applyFill="1" applyFont="1">
      <alignment horizontal="center" shrinkToFit="0" vertical="center" wrapText="1"/>
    </xf>
    <xf borderId="0" fillId="0" fontId="5" numFmtId="10" xfId="0" applyAlignment="1" applyFont="1" applyNumberFormat="1">
      <alignment horizontal="center" vertical="center"/>
    </xf>
    <xf borderId="1" fillId="4" fontId="1" numFmtId="2" xfId="0" applyAlignment="1" applyBorder="1" applyFill="1" applyFont="1" applyNumberFormat="1">
      <alignment horizontal="center" vertical="center"/>
    </xf>
    <xf borderId="9" fillId="4" fontId="1" numFmtId="2" xfId="0" applyAlignment="1" applyBorder="1" applyFill="1" applyFont="1" applyNumberFormat="1">
      <alignment horizontal="center" vertical="center"/>
    </xf>
    <xf borderId="10" fillId="5" fontId="6" numFmtId="0" xfId="0" applyAlignment="1" applyBorder="1" applyFill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" fillId="6" fontId="1" numFmtId="0" xfId="0" applyAlignment="1" applyBorder="1" applyFill="1" applyFont="1">
      <alignment horizontal="center" shrinkToFit="0" vertical="center" wrapText="1"/>
    </xf>
    <xf borderId="9" fillId="6" fontId="1" numFmtId="2" xfId="0" applyAlignment="1" applyBorder="1" applyFill="1" applyFont="1" applyNumberFormat="1">
      <alignment horizontal="center" vertical="center"/>
    </xf>
    <xf borderId="8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vertical="center"/>
    </xf>
    <xf borderId="13" fillId="7" fontId="6" numFmtId="0" xfId="0" applyAlignment="1" applyBorder="1" applyFill="1" applyFont="1">
      <alignment horizontal="center" shrinkToFit="0" vertical="center" wrapText="1"/>
    </xf>
    <xf borderId="14" fillId="7" fontId="1" numFmtId="0" xfId="0" applyAlignment="1" applyBorder="1" applyFill="1" applyFont="1">
      <alignment horizontal="center" shrinkToFit="0" vertical="center" wrapText="1"/>
    </xf>
    <xf borderId="1" fillId="0" fontId="1" numFmtId="1" xfId="0" applyAlignment="1" applyBorder="1" applyFont="1" applyNumberFormat="1">
      <alignment horizontal="center" vertical="center"/>
    </xf>
    <xf borderId="1" fillId="7" fontId="1" numFmtId="0" xfId="0" applyAlignment="1" applyBorder="1" applyFill="1" applyFont="1">
      <alignment horizontal="center" shrinkToFit="0" vertical="center" wrapText="1"/>
    </xf>
    <xf borderId="9" fillId="7" fontId="1" numFmtId="2" xfId="0" applyAlignment="1" applyBorder="1" applyFill="1" applyFont="1" applyNumberFormat="1">
      <alignment horizontal="center" vertical="center"/>
    </xf>
    <xf borderId="9" fillId="0" fontId="1" numFmtId="2" xfId="0" applyAlignment="1" applyBorder="1" applyFont="1" applyNumberFormat="1">
      <alignment horizontal="center" vertical="center"/>
    </xf>
    <xf borderId="13" fillId="8" fontId="6" numFmtId="0" xfId="0" applyAlignment="1" applyBorder="1" applyFill="1" applyFont="1">
      <alignment horizontal="center" shrinkToFit="0" vertical="center" wrapText="1"/>
    </xf>
    <xf borderId="14" fillId="8" fontId="1" numFmtId="2" xfId="0" applyAlignment="1" applyBorder="1" applyFill="1" applyFont="1" applyNumberFormat="1">
      <alignment horizontal="center" shrinkToFit="0" vertical="center" wrapText="1"/>
    </xf>
    <xf borderId="1" fillId="8" fontId="1" numFmtId="0" xfId="0" applyAlignment="1" applyBorder="1" applyFill="1" applyFont="1">
      <alignment horizontal="center" shrinkToFit="0" vertical="center" wrapText="1"/>
    </xf>
    <xf borderId="9" fillId="8" fontId="1" numFmtId="2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25-26_Simulateur_20260519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rif_ACT-REG+PARENTS-ENFANTS"/>
      <sheetName val="Tarification_ALSH + sortie Miri"/>
      <sheetName val="Tarification_STAGES+SEJOURS"/>
      <sheetName val="Testeur futurs tarifs"/>
      <sheetName val="Act régul Adultes - Calculs"/>
      <sheetName val="Act régul Enf Jeunes - Calculs"/>
      <sheetName val="Séjours courts-longs-MCP - Calc"/>
      <sheetName val="ALSH - Calculs"/>
      <sheetName val="Consignes pour rajout de tarifs"/>
      <sheetName val="Act régul Parents Enf - Calc"/>
      <sheetName val="Stages -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61.38"/>
    <col customWidth="1" min="3" max="8" width="12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0" customHeight="1">
      <c r="A3" s="1"/>
      <c r="B3" s="3" t="s">
        <v>0</v>
      </c>
      <c r="C3" s="5"/>
      <c r="D3" s="5"/>
      <c r="E3" s="5"/>
      <c r="F3" s="6" t="s">
        <v>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8">
        <v>400.0</v>
      </c>
      <c r="C4" s="10" t="s">
        <v>10</v>
      </c>
      <c r="E4" s="5"/>
      <c r="F4" s="11">
        <v>14.5</v>
      </c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2.75" customHeight="1">
      <c r="A5" s="1"/>
      <c r="B5" s="3"/>
      <c r="C5" s="3"/>
      <c r="D5" s="3"/>
      <c r="E5" s="3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69.75" customHeight="1">
      <c r="A6" s="1"/>
      <c r="B6" s="13" t="s">
        <v>16</v>
      </c>
      <c r="C6" s="14"/>
      <c r="D6" s="14"/>
      <c r="E6" s="14"/>
      <c r="F6" s="14"/>
      <c r="G6" s="14"/>
      <c r="H6" s="1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66.75" customHeight="1">
      <c r="A7" s="1"/>
      <c r="B7" s="16" t="s">
        <v>20</v>
      </c>
      <c r="C7" s="17" t="s">
        <v>21</v>
      </c>
      <c r="D7" s="17" t="s">
        <v>22</v>
      </c>
      <c r="E7" s="17" t="s">
        <v>24</v>
      </c>
      <c r="F7" s="17" t="s">
        <v>25</v>
      </c>
      <c r="G7" s="17" t="s">
        <v>26</v>
      </c>
      <c r="H7" s="18" t="s">
        <v>27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2.75" customHeight="1">
      <c r="A8" s="1"/>
      <c r="B8" s="19" t="s">
        <v>28</v>
      </c>
      <c r="C8" s="21">
        <f>'ALSH - Calculs'!C12</f>
        <v>4.85</v>
      </c>
      <c r="D8" s="21">
        <f>'ALSH - Calculs'!D12</f>
        <v>3.3</v>
      </c>
      <c r="E8" s="21">
        <f>'ALSH - Calculs'!F12</f>
        <v>2.2</v>
      </c>
      <c r="F8" s="21">
        <v>0.0</v>
      </c>
      <c r="G8" s="21">
        <f>E8</f>
        <v>2.2</v>
      </c>
      <c r="H8" s="22">
        <f>'ALSH - Calculs'!G12</f>
        <v>4.3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12.75" customHeight="1">
      <c r="A9" s="1"/>
      <c r="B9" s="23" t="s">
        <v>29</v>
      </c>
      <c r="C9" s="24"/>
      <c r="D9" s="24"/>
      <c r="E9" s="24"/>
      <c r="F9" s="24"/>
      <c r="G9" s="24"/>
      <c r="H9" s="2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12.75" customHeight="1">
      <c r="A10" s="1"/>
      <c r="B10" s="19" t="s">
        <v>35</v>
      </c>
      <c r="C10" s="21">
        <f>'ALSH - Calculs'!C14</f>
        <v>55.88</v>
      </c>
      <c r="D10" s="21">
        <f>'ALSH - Calculs'!D14</f>
        <v>32.5</v>
      </c>
      <c r="E10" s="21">
        <f>'ALSH - Calculs'!F14</f>
        <v>21.2</v>
      </c>
      <c r="F10" s="21">
        <f>ROUND(IF($F$4&lt;&gt;"",$F$4,IF($B$4&lt;300,14.5,IF($B$4&lt;1200,16-($B$4*0.003667+0.4),IF($B$4&lt;2800,16-($B$4*0.003875+0.15),IF($B$4&lt;4000,16-($B$4*0.002917+2.833334),1.5))))),2)</f>
        <v>14.5</v>
      </c>
      <c r="G10" s="21">
        <f t="shared" ref="G10:G12" si="1">E10-F10</f>
        <v>6.7</v>
      </c>
      <c r="H10" s="22">
        <f>'ALSH - Calculs'!G14</f>
        <v>42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12.75" customHeight="1">
      <c r="A11" s="1"/>
      <c r="B11" s="28" t="s">
        <v>36</v>
      </c>
      <c r="C11" s="29">
        <f>'ALSH - Calculs'!C17</f>
        <v>27.0459</v>
      </c>
      <c r="D11" s="29">
        <f>'ALSH - Calculs'!D17</f>
        <v>15.5</v>
      </c>
      <c r="E11" s="29">
        <f>'ALSH - Calculs'!F17</f>
        <v>10.1</v>
      </c>
      <c r="F11" s="29">
        <f t="shared" ref="F11:F12" si="2">0.5*ROUND(IF($F$4&lt;&gt;"",$F$4,IF($B$4&lt;300,14.5,IF($B$4&lt;1200,16-($B$4*0.003667+0.4),IF($B$4&lt;2800,16-($B$4*0.003875+0.15),IF($B$4&lt;4000,16-($B$4*0.002917+2.833334),1.5))))),2)</f>
        <v>7.25</v>
      </c>
      <c r="G11" s="29">
        <f t="shared" si="1"/>
        <v>2.85</v>
      </c>
      <c r="H11" s="35">
        <f>'ALSH - Calculs'!G17</f>
        <v>20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12.75" customHeight="1">
      <c r="A12" s="1"/>
      <c r="B12" s="19" t="s">
        <v>38</v>
      </c>
      <c r="C12" s="21">
        <f>'ALSH - Calculs'!C16</f>
        <v>31.8959</v>
      </c>
      <c r="D12" s="21">
        <f>'ALSH - Calculs'!D16</f>
        <v>18.8</v>
      </c>
      <c r="E12" s="21">
        <f>'ALSH - Calculs'!F16</f>
        <v>12.3</v>
      </c>
      <c r="F12" s="21">
        <f t="shared" si="2"/>
        <v>7.25</v>
      </c>
      <c r="G12" s="21">
        <f t="shared" si="1"/>
        <v>5.05</v>
      </c>
      <c r="H12" s="22">
        <f>'ALSH - Calculs'!G16</f>
        <v>24.3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12.75" customHeight="1">
      <c r="A13" s="1"/>
      <c r="B13" s="23" t="s">
        <v>40</v>
      </c>
      <c r="C13" s="24"/>
      <c r="D13" s="24"/>
      <c r="E13" s="24"/>
      <c r="F13" s="24"/>
      <c r="G13" s="24"/>
      <c r="H13" s="2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12.75" customHeight="1">
      <c r="A14" s="1"/>
      <c r="B14" s="19" t="s">
        <v>42</v>
      </c>
      <c r="C14" s="21">
        <f>'ALSH - Calculs'!C19</f>
        <v>55.88</v>
      </c>
      <c r="D14" s="21">
        <f>'ALSH - Calculs'!D19</f>
        <v>32.5</v>
      </c>
      <c r="E14" s="21">
        <f>'ALSH - Calculs'!F19</f>
        <v>21.2</v>
      </c>
      <c r="F14" s="21">
        <f t="shared" ref="F14:F16" si="3">ROUND(IF($F$4&lt;&gt;"",$F$4,IF($B$4&lt;300,14.5,IF($B$4&lt;1200,16-($B$4*0.003667+0.4),IF($B$4&lt;2800,16-($B$4*0.003875+0.15),IF($B$4&lt;4000,16-($B$4*0.002917+2.833334),1.5))))),2)</f>
        <v>14.5</v>
      </c>
      <c r="G14" s="21">
        <f t="shared" ref="G14:G16" si="4">E14-F14</f>
        <v>6.7</v>
      </c>
      <c r="H14" s="22">
        <f>'ALSH - Calculs'!G19</f>
        <v>42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12.75" customHeight="1">
      <c r="A15" s="1"/>
      <c r="B15" s="28" t="s">
        <v>45</v>
      </c>
      <c r="C15" s="29">
        <f>'ALSH - Calculs'!C21</f>
        <v>55.88</v>
      </c>
      <c r="D15" s="29">
        <f>'ALSH - Calculs'!D21</f>
        <v>33.15</v>
      </c>
      <c r="E15" s="29">
        <f>'ALSH - Calculs'!F21</f>
        <v>21.6</v>
      </c>
      <c r="F15" s="29">
        <f t="shared" si="3"/>
        <v>14.5</v>
      </c>
      <c r="G15" s="29">
        <f t="shared" si="4"/>
        <v>7.1</v>
      </c>
      <c r="H15" s="35">
        <f>'ALSH - Calculs'!G21</f>
        <v>42.8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12.75" customHeight="1">
      <c r="A16" s="1"/>
      <c r="B16" s="19" t="s">
        <v>47</v>
      </c>
      <c r="C16" s="21">
        <f>'ALSH - Calculs'!C23</f>
        <v>55.88</v>
      </c>
      <c r="D16" s="21">
        <f>'ALSH - Calculs'!D23</f>
        <v>34.125</v>
      </c>
      <c r="E16" s="21">
        <f>'ALSH - Calculs'!F23</f>
        <v>22.2</v>
      </c>
      <c r="F16" s="21">
        <f t="shared" si="3"/>
        <v>14.5</v>
      </c>
      <c r="G16" s="21">
        <f t="shared" si="4"/>
        <v>7.7</v>
      </c>
      <c r="H16" s="22">
        <f>'ALSH - Calculs'!G23</f>
        <v>44.1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12.75" customHeight="1">
      <c r="A17" s="1"/>
      <c r="B17" s="23" t="s">
        <v>48</v>
      </c>
      <c r="C17" s="24"/>
      <c r="D17" s="24"/>
      <c r="E17" s="24"/>
      <c r="F17" s="24"/>
      <c r="G17" s="24"/>
      <c r="H17" s="2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15.0" customHeight="1">
      <c r="A18" s="1"/>
      <c r="B18" s="19" t="s">
        <v>50</v>
      </c>
      <c r="C18" s="21">
        <f t="shared" ref="C18:E18" si="5">C14*5</f>
        <v>279.4</v>
      </c>
      <c r="D18" s="21">
        <f t="shared" si="5"/>
        <v>162.5</v>
      </c>
      <c r="E18" s="21">
        <f t="shared" si="5"/>
        <v>106</v>
      </c>
      <c r="F18" s="21">
        <f>5*ROUND(IF($F$4&lt;&gt;"",$F$4,IF($B$4&lt;300,14.5,IF($B$4&lt;1200,16-($B$4*0.003667+0.4),IF($B$4&lt;2800,16-($B$4*0.003875+0.15),IF($B$4&lt;4000,16-($B$4*0.002917+2.833334),1.5))))),2)</f>
        <v>72.5</v>
      </c>
      <c r="G18" s="21">
        <f t="shared" ref="G18:G19" si="7">E18-F18</f>
        <v>33.5</v>
      </c>
      <c r="H18" s="22">
        <f>H14*5</f>
        <v>210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5.0" customHeight="1">
      <c r="A19" s="1"/>
      <c r="B19" s="28" t="s">
        <v>54</v>
      </c>
      <c r="C19" s="29">
        <f t="shared" ref="C19:E19" si="6">C15*4</f>
        <v>223.52</v>
      </c>
      <c r="D19" s="29">
        <f t="shared" si="6"/>
        <v>132.6</v>
      </c>
      <c r="E19" s="29">
        <f t="shared" si="6"/>
        <v>86.4</v>
      </c>
      <c r="F19" s="29">
        <f>4*ROUND(IF($F$4&lt;&gt;"",$F$4,IF($B$4&lt;300,14.5,IF($B$4&lt;1200,16-($B$4*0.003667+0.4),IF($B$4&lt;2800,16-($B$4*0.003875+0.15),IF($B$4&lt;4000,16-($B$4*0.002917+2.833334),1.5))))),2)</f>
        <v>58</v>
      </c>
      <c r="G19" s="29">
        <f t="shared" si="7"/>
        <v>28.4</v>
      </c>
      <c r="H19" s="35">
        <f>H15*4</f>
        <v>171.2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mergeCells count="5">
    <mergeCell ref="F3:H3"/>
    <mergeCell ref="B6:H6"/>
    <mergeCell ref="B9:H9"/>
    <mergeCell ref="B13:H13"/>
    <mergeCell ref="B17:H1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58.63"/>
    <col customWidth="1" min="3" max="26" width="15.75"/>
  </cols>
  <sheetData>
    <row r="3" ht="12.75" customHeight="1">
      <c r="B3" s="2"/>
      <c r="C3" s="4" t="s">
        <v>1</v>
      </c>
      <c r="D3" s="4">
        <v>100.0</v>
      </c>
      <c r="E3" s="2" t="s">
        <v>2</v>
      </c>
      <c r="F3" s="4">
        <v>100.0</v>
      </c>
      <c r="G3" s="4" t="s">
        <v>3</v>
      </c>
      <c r="H3" s="4">
        <v>1000.0</v>
      </c>
      <c r="I3" s="4" t="s">
        <v>4</v>
      </c>
      <c r="J3" s="4">
        <v>1000.0</v>
      </c>
      <c r="K3" s="2" t="s">
        <v>2</v>
      </c>
      <c r="L3" s="4">
        <v>1000.0</v>
      </c>
      <c r="M3" s="4" t="s">
        <v>3</v>
      </c>
      <c r="N3" s="4">
        <v>2000.0</v>
      </c>
      <c r="O3" s="4" t="s">
        <v>4</v>
      </c>
      <c r="P3" s="4">
        <v>2000.0</v>
      </c>
      <c r="Q3" s="2" t="s">
        <v>2</v>
      </c>
      <c r="R3" s="4">
        <v>2000.0</v>
      </c>
      <c r="S3" s="4" t="s">
        <v>3</v>
      </c>
      <c r="T3" s="4">
        <v>4000.0</v>
      </c>
      <c r="U3" s="4" t="s">
        <v>4</v>
      </c>
      <c r="V3" s="4">
        <v>4000.0</v>
      </c>
      <c r="W3" s="4" t="s">
        <v>6</v>
      </c>
      <c r="X3" s="4">
        <v>2000.0</v>
      </c>
      <c r="Y3" s="4" t="s">
        <v>7</v>
      </c>
      <c r="Z3" s="4">
        <v>2001.0</v>
      </c>
    </row>
    <row r="4" ht="12.75" customHeight="1">
      <c r="B4" s="7" t="s">
        <v>8</v>
      </c>
      <c r="C4" s="4" t="s">
        <v>9</v>
      </c>
      <c r="D4" s="9">
        <v>0.5469</v>
      </c>
      <c r="E4" s="4" t="s">
        <v>9</v>
      </c>
      <c r="F4" s="4">
        <v>3.49E-4</v>
      </c>
      <c r="G4" s="4" t="s">
        <v>11</v>
      </c>
      <c r="H4" s="9">
        <v>0.512</v>
      </c>
      <c r="I4" s="4" t="s">
        <v>9</v>
      </c>
      <c r="J4" s="9">
        <v>0.861</v>
      </c>
      <c r="K4" s="4" t="s">
        <v>9</v>
      </c>
      <c r="L4" s="4">
        <v>3.32E-4</v>
      </c>
      <c r="M4" s="4" t="s">
        <v>11</v>
      </c>
      <c r="N4" s="9">
        <v>0.529</v>
      </c>
      <c r="O4" s="4" t="s">
        <v>9</v>
      </c>
      <c r="P4" s="9">
        <v>1.193</v>
      </c>
      <c r="Q4" s="4" t="s">
        <v>9</v>
      </c>
      <c r="R4" s="4">
        <v>4.9E-5</v>
      </c>
      <c r="S4" s="4" t="s">
        <v>11</v>
      </c>
      <c r="T4" s="9">
        <v>1.095</v>
      </c>
      <c r="U4" s="4" t="s">
        <v>9</v>
      </c>
      <c r="V4" s="9">
        <v>1.291</v>
      </c>
      <c r="W4" s="4" t="s">
        <v>9</v>
      </c>
      <c r="X4" s="9">
        <v>1.291</v>
      </c>
      <c r="Y4" s="4" t="s">
        <v>12</v>
      </c>
      <c r="Z4" s="9">
        <v>1.448</v>
      </c>
    </row>
    <row r="5" ht="12.75" customHeight="1">
      <c r="B5" s="7" t="s">
        <v>13</v>
      </c>
      <c r="C5" s="4" t="s">
        <v>9</v>
      </c>
      <c r="D5" s="9">
        <v>0.5469</v>
      </c>
      <c r="E5" s="4" t="s">
        <v>9</v>
      </c>
      <c r="F5" s="4">
        <v>3.49E-4</v>
      </c>
      <c r="G5" s="4" t="s">
        <v>11</v>
      </c>
      <c r="H5" s="9">
        <v>0.512</v>
      </c>
      <c r="I5" s="4" t="s">
        <v>9</v>
      </c>
      <c r="J5" s="9">
        <v>0.861</v>
      </c>
      <c r="K5" s="4" t="s">
        <v>9</v>
      </c>
      <c r="L5" s="4">
        <v>3.32E-4</v>
      </c>
      <c r="M5" s="4" t="s">
        <v>11</v>
      </c>
      <c r="N5" s="9">
        <v>0.529</v>
      </c>
      <c r="O5" s="4" t="s">
        <v>9</v>
      </c>
      <c r="P5" s="9">
        <v>1.193</v>
      </c>
      <c r="Q5" s="4" t="s">
        <v>14</v>
      </c>
      <c r="R5" s="4">
        <v>0.0</v>
      </c>
      <c r="S5" s="4" t="s">
        <v>15</v>
      </c>
      <c r="T5" s="9">
        <v>1.193</v>
      </c>
      <c r="U5" s="4" t="s">
        <v>14</v>
      </c>
      <c r="V5" s="9">
        <v>1.193</v>
      </c>
      <c r="W5" s="4" t="s">
        <v>14</v>
      </c>
      <c r="X5" s="9">
        <v>1.291</v>
      </c>
      <c r="Y5" s="4" t="s">
        <v>12</v>
      </c>
      <c r="Z5" s="9">
        <v>1.448</v>
      </c>
    </row>
    <row r="6" ht="12.75" customHeight="1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B7" s="12"/>
      <c r="C7" s="12"/>
      <c r="D7" s="12"/>
      <c r="E7" s="12"/>
      <c r="F7" s="12" t="s">
        <v>17</v>
      </c>
      <c r="G7" s="12" t="s">
        <v>18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75" customHeight="1">
      <c r="B8" s="12" t="s">
        <v>19</v>
      </c>
      <c r="C8" s="12">
        <f>'Tarification_ALSH '!B4</f>
        <v>400</v>
      </c>
      <c r="D8" s="12"/>
      <c r="E8" s="12" t="s">
        <v>23</v>
      </c>
      <c r="F8" s="20">
        <f>IF($C$8&gt;$V$3,$V$4,IF($C$8&gt;$P$3,$R$4*$C$8+$T$4,IF($C$8&gt;$J$3,$L$4*$C$8+$N$4,IF($C$8&gt;$D$3,$F$4*$C$8+$H$4,$D$4))))</f>
        <v>0.6516</v>
      </c>
      <c r="G8" s="20">
        <f>IF($C$8&gt;$X$3,$Z$4,$X$4)</f>
        <v>1.291</v>
      </c>
      <c r="H8" s="20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75" customHeight="1">
      <c r="B9" s="12"/>
      <c r="C9" s="12"/>
      <c r="D9" s="12"/>
      <c r="E9" s="12" t="s">
        <v>23</v>
      </c>
      <c r="F9" s="20">
        <f>IF($C$8&gt;$V$3,$V$5,IF($C$8&gt;$P$3,$R$5*$C$8+$T$5,IF($C$8&gt;$J$3,$L$5*$C$8+$N$5,IF($C$8&gt;$D$3,$F$4*$C$8+$H$5,$D$5))))</f>
        <v>0.6516</v>
      </c>
      <c r="G9" s="20">
        <f>IF($C$8&gt;$X$3,$Z$5,$X$5)</f>
        <v>1.291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75" customHeight="1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75" customHeight="1">
      <c r="B11" s="12" t="s">
        <v>30</v>
      </c>
      <c r="C11" s="12" t="s">
        <v>31</v>
      </c>
      <c r="D11" s="12" t="s">
        <v>22</v>
      </c>
      <c r="E11" s="12" t="s">
        <v>32</v>
      </c>
      <c r="F11" s="12" t="s">
        <v>33</v>
      </c>
      <c r="G11" s="12" t="s">
        <v>34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B12" s="26" t="s">
        <v>28</v>
      </c>
      <c r="C12" s="27">
        <v>4.85</v>
      </c>
      <c r="D12" s="27">
        <v>3.3</v>
      </c>
      <c r="E12" s="27">
        <v>3.3</v>
      </c>
      <c r="F12" s="29">
        <f t="shared" ref="F12:G12" si="1">ROUND($D12*F$8,1)</f>
        <v>2.2</v>
      </c>
      <c r="G12" s="29">
        <f t="shared" si="1"/>
        <v>4.3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B13" s="30" t="s">
        <v>29</v>
      </c>
      <c r="C13" s="31"/>
      <c r="D13" s="31"/>
      <c r="E13" s="31"/>
      <c r="F13" s="32"/>
      <c r="G13" s="3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B14" s="33" t="s">
        <v>37</v>
      </c>
      <c r="C14" s="34">
        <v>55.88</v>
      </c>
      <c r="D14" s="34">
        <v>32.5</v>
      </c>
      <c r="E14" s="34">
        <v>28.6</v>
      </c>
      <c r="F14" s="29">
        <f t="shared" ref="F14:G14" si="2">ROUND($D14*F$8,1)</f>
        <v>21.2</v>
      </c>
      <c r="G14" s="29">
        <f t="shared" si="2"/>
        <v>42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B15" s="33" t="s">
        <v>39</v>
      </c>
      <c r="C15" s="34">
        <f>C14-C12</f>
        <v>51.03</v>
      </c>
      <c r="D15" s="34">
        <v>29.2</v>
      </c>
      <c r="E15" s="34">
        <v>25.3</v>
      </c>
      <c r="F15" s="29">
        <f t="shared" ref="F15:G15" si="3">ROUND($D15*F$8,1)</f>
        <v>19</v>
      </c>
      <c r="G15" s="29">
        <f t="shared" si="3"/>
        <v>37.7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B16" s="33" t="s">
        <v>41</v>
      </c>
      <c r="C16" s="34">
        <f>C17+C12</f>
        <v>31.8959</v>
      </c>
      <c r="D16" s="34">
        <v>18.8</v>
      </c>
      <c r="E16" s="34">
        <v>16.7</v>
      </c>
      <c r="F16" s="29">
        <f t="shared" ref="F16:G16" si="4">ROUND($D16*F$8,1)</f>
        <v>12.3</v>
      </c>
      <c r="G16" s="29">
        <f t="shared" si="4"/>
        <v>24.3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B17" s="33" t="s">
        <v>43</v>
      </c>
      <c r="C17" s="34">
        <f>C15*53%</f>
        <v>27.0459</v>
      </c>
      <c r="D17" s="34">
        <v>15.5</v>
      </c>
      <c r="E17" s="34">
        <v>13.4</v>
      </c>
      <c r="F17" s="29">
        <f t="shared" ref="F17:G17" si="5">ROUND($D17*F$8,1)</f>
        <v>10.1</v>
      </c>
      <c r="G17" s="29">
        <f t="shared" si="5"/>
        <v>20</v>
      </c>
    </row>
    <row r="18" ht="12.75" customHeight="1">
      <c r="B18" s="36" t="s">
        <v>44</v>
      </c>
      <c r="C18" s="37"/>
      <c r="D18" s="37"/>
      <c r="E18" s="37"/>
      <c r="F18" s="29"/>
      <c r="G18" s="29"/>
    </row>
    <row r="19" ht="12.75" customHeight="1">
      <c r="B19" s="38" t="s">
        <v>46</v>
      </c>
      <c r="C19" s="39">
        <f t="shared" ref="C19:E19" si="6">C14</f>
        <v>55.88</v>
      </c>
      <c r="D19" s="39">
        <f t="shared" si="6"/>
        <v>32.5</v>
      </c>
      <c r="E19" s="39">
        <f t="shared" si="6"/>
        <v>28.6</v>
      </c>
      <c r="F19" s="29">
        <f t="shared" ref="F19:G19" si="7">ROUND($D19*F$8,1)</f>
        <v>21.2</v>
      </c>
      <c r="G19" s="29">
        <f t="shared" si="7"/>
        <v>42</v>
      </c>
    </row>
    <row r="20" ht="12.75" customHeight="1">
      <c r="B20" s="38" t="s">
        <v>49</v>
      </c>
      <c r="C20" s="39">
        <f t="shared" ref="C20:E20" si="8">C15</f>
        <v>51.03</v>
      </c>
      <c r="D20" s="39">
        <f t="shared" si="8"/>
        <v>29.2</v>
      </c>
      <c r="E20" s="39">
        <f t="shared" si="8"/>
        <v>25.3</v>
      </c>
      <c r="F20" s="29">
        <f t="shared" ref="F20:G20" si="9">ROUND($D20*F$8,1)</f>
        <v>19</v>
      </c>
      <c r="G20" s="29">
        <f t="shared" si="9"/>
        <v>37.7</v>
      </c>
    </row>
    <row r="21" ht="12.75" customHeight="1">
      <c r="B21" s="38" t="s">
        <v>51</v>
      </c>
      <c r="C21" s="39">
        <f t="shared" ref="C21:C22" si="12">C19</f>
        <v>55.88</v>
      </c>
      <c r="D21" s="39">
        <f t="shared" ref="D21:E21" si="10">D19*1.02</f>
        <v>33.15</v>
      </c>
      <c r="E21" s="39">
        <f t="shared" si="10"/>
        <v>29.172</v>
      </c>
      <c r="F21" s="29">
        <f t="shared" ref="F21:G21" si="11">ROUND($D21*F$8,1)</f>
        <v>21.6</v>
      </c>
      <c r="G21" s="29">
        <f t="shared" si="11"/>
        <v>42.8</v>
      </c>
    </row>
    <row r="22" ht="12.75" customHeight="1">
      <c r="B22" s="38" t="s">
        <v>52</v>
      </c>
      <c r="C22" s="39">
        <f t="shared" si="12"/>
        <v>51.03</v>
      </c>
      <c r="D22" s="39">
        <f t="shared" ref="D22:E22" si="13">D20*1.02</f>
        <v>29.784</v>
      </c>
      <c r="E22" s="39">
        <f t="shared" si="13"/>
        <v>25.806</v>
      </c>
      <c r="F22" s="29">
        <f t="shared" ref="F22:G22" si="14">ROUND($D22*F$8,1)</f>
        <v>19.4</v>
      </c>
      <c r="G22" s="29">
        <f t="shared" si="14"/>
        <v>38.5</v>
      </c>
    </row>
    <row r="23" ht="12.75" customHeight="1">
      <c r="B23" s="38" t="s">
        <v>53</v>
      </c>
      <c r="C23" s="39">
        <f t="shared" ref="C23:C24" si="17">C19</f>
        <v>55.88</v>
      </c>
      <c r="D23" s="39">
        <f t="shared" ref="D23:E23" si="15">D19*1.05</f>
        <v>34.125</v>
      </c>
      <c r="E23" s="39">
        <f t="shared" si="15"/>
        <v>30.03</v>
      </c>
      <c r="F23" s="29">
        <f t="shared" ref="F23:G23" si="16">ROUND($D23*F$8,1)</f>
        <v>22.2</v>
      </c>
      <c r="G23" s="29">
        <f t="shared" si="16"/>
        <v>44.1</v>
      </c>
    </row>
    <row r="24" ht="12.75" customHeight="1">
      <c r="B24" s="38" t="s">
        <v>55</v>
      </c>
      <c r="C24" s="39">
        <f t="shared" si="17"/>
        <v>51.03</v>
      </c>
      <c r="D24" s="39">
        <f t="shared" ref="D24:E24" si="18">D20*1.05</f>
        <v>30.66</v>
      </c>
      <c r="E24" s="39">
        <f t="shared" si="18"/>
        <v>26.565</v>
      </c>
      <c r="F24" s="29">
        <f t="shared" ref="F24:G24" si="19">ROUND($D24*F$8,1)</f>
        <v>20</v>
      </c>
      <c r="G24" s="29">
        <f t="shared" si="19"/>
        <v>39.6</v>
      </c>
    </row>
    <row r="25" ht="12.75" customHeight="1">
      <c r="B25" s="12"/>
      <c r="C25" s="12"/>
      <c r="D25" s="12"/>
      <c r="E25" s="12"/>
      <c r="F25" s="12"/>
      <c r="G25" s="12"/>
    </row>
    <row r="26" ht="12.75" customHeight="1">
      <c r="B26" s="38" t="s">
        <v>56</v>
      </c>
      <c r="C26" s="39"/>
      <c r="D26" s="39"/>
      <c r="E26" s="39"/>
      <c r="F26" s="29">
        <f t="shared" ref="F26:G26" si="20">ROUND($D26*F$9,1)</f>
        <v>0</v>
      </c>
      <c r="G26" s="29">
        <f t="shared" si="20"/>
        <v>0</v>
      </c>
    </row>
    <row r="27" ht="15.75" customHeight="1">
      <c r="B27" s="38" t="s">
        <v>57</v>
      </c>
      <c r="C27" s="39"/>
      <c r="D27" s="39"/>
      <c r="E27" s="39"/>
      <c r="F27" s="29">
        <f t="shared" ref="F27:G27" si="21">ROUND($D27*F$9,1)</f>
        <v>0</v>
      </c>
      <c r="G27" s="29">
        <f t="shared" si="21"/>
        <v>0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2023-02-01T20:19:50Z</dcterms:created>
  <dc:creator>Catherine Gabaston-Beaumont</dc:creator>
</cp:coreProperties>
</file>